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n_\Desktop\"/>
    </mc:Choice>
  </mc:AlternateContent>
  <workbookProtection workbookAlgorithmName="SHA-512" workbookHashValue="umGOOzsGg/xF/Tf0Zxr0iK9pCsw8vdtFjQrHPu9cNNd1xbseYAQakkVzTRsPdcD+wNfFFITsalSSOnPBe9g0tg==" workbookSaltValue="4QeKKm+6EWgi536b2ZXULA==" workbookSpinCount="100000" lockStructure="1"/>
  <bookViews>
    <workbookView xWindow="0" yWindow="0" windowWidth="20490" windowHeight="7530"/>
  </bookViews>
  <sheets>
    <sheet name="Planilha1" sheetId="1" r:id="rId1"/>
    <sheet name="Planilh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D54" i="1"/>
  <c r="H53" i="1"/>
  <c r="G53" i="1"/>
  <c r="F53" i="1"/>
  <c r="E53" i="1"/>
  <c r="D53" i="1"/>
  <c r="H18" i="1"/>
  <c r="G18" i="1"/>
  <c r="F18" i="1"/>
  <c r="E18" i="1"/>
  <c r="D18" i="1"/>
  <c r="D5" i="1" l="1"/>
  <c r="H70" i="1" l="1"/>
  <c r="H69" i="1"/>
  <c r="H68" i="1"/>
  <c r="H67" i="1"/>
  <c r="H66" i="1"/>
  <c r="G70" i="1"/>
  <c r="G69" i="1"/>
  <c r="G68" i="1"/>
  <c r="G67" i="1"/>
  <c r="F70" i="1"/>
  <c r="F69" i="1"/>
  <c r="F68" i="1"/>
  <c r="F67" i="1"/>
  <c r="F66" i="1"/>
  <c r="D70" i="1"/>
  <c r="D69" i="1"/>
  <c r="D68" i="1"/>
  <c r="D67" i="1"/>
  <c r="E70" i="1"/>
  <c r="E69" i="1"/>
  <c r="E68" i="1"/>
  <c r="E67" i="1"/>
  <c r="E66" i="1"/>
  <c r="D66" i="1"/>
  <c r="H65" i="1"/>
  <c r="G65" i="1"/>
  <c r="F65" i="1"/>
  <c r="E65" i="1"/>
  <c r="D65" i="1"/>
  <c r="H64" i="1"/>
  <c r="G64" i="1"/>
  <c r="F64" i="1"/>
  <c r="E64" i="1"/>
  <c r="D64" i="1"/>
  <c r="E63" i="1"/>
  <c r="F63" i="1"/>
  <c r="G63" i="1"/>
  <c r="H63" i="1"/>
  <c r="D63" i="1"/>
  <c r="D62" i="1"/>
  <c r="E62" i="1"/>
  <c r="F62" i="1"/>
  <c r="G62" i="1"/>
  <c r="H62" i="1"/>
  <c r="D61" i="1"/>
  <c r="E61" i="1"/>
  <c r="F61" i="1"/>
  <c r="G61" i="1"/>
  <c r="H61" i="1"/>
  <c r="E57" i="1"/>
  <c r="F57" i="1"/>
  <c r="G57" i="1"/>
  <c r="H57" i="1"/>
  <c r="D57" i="1"/>
  <c r="H56" i="1"/>
  <c r="G56" i="1"/>
  <c r="F56" i="1"/>
  <c r="E56" i="1"/>
  <c r="D56" i="1"/>
  <c r="H55" i="1"/>
  <c r="G55" i="1"/>
  <c r="F55" i="1"/>
  <c r="E55" i="1"/>
  <c r="D55" i="1"/>
  <c r="G54" i="1"/>
  <c r="F54" i="1"/>
  <c r="E54" i="1"/>
  <c r="H52" i="1"/>
  <c r="G52" i="1"/>
  <c r="F52" i="1"/>
  <c r="E52" i="1"/>
  <c r="D52" i="1"/>
  <c r="H51" i="1"/>
  <c r="G51" i="1"/>
  <c r="F51" i="1"/>
  <c r="E51" i="1"/>
  <c r="D51" i="1"/>
  <c r="G50" i="1"/>
  <c r="F50" i="1"/>
  <c r="E50" i="1"/>
  <c r="D50" i="1"/>
  <c r="H50" i="1"/>
  <c r="H49" i="1"/>
  <c r="G49" i="1"/>
  <c r="F49" i="1"/>
  <c r="E49" i="1"/>
  <c r="D49" i="1"/>
  <c r="H48" i="1"/>
  <c r="G48" i="1"/>
  <c r="F48" i="1"/>
  <c r="E48" i="1"/>
  <c r="D48" i="1"/>
  <c r="H44" i="1" l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D40" i="1"/>
  <c r="E40" i="1"/>
  <c r="H39" i="1"/>
  <c r="H40" i="1"/>
  <c r="G40" i="1"/>
  <c r="F40" i="1"/>
  <c r="G39" i="1"/>
  <c r="F39" i="1"/>
  <c r="E39" i="1"/>
  <c r="D39" i="1"/>
  <c r="D38" i="1"/>
  <c r="E38" i="1"/>
  <c r="F38" i="1"/>
  <c r="G38" i="1"/>
  <c r="H38" i="1"/>
  <c r="H37" i="1"/>
  <c r="G37" i="1"/>
  <c r="F37" i="1"/>
  <c r="E37" i="1"/>
  <c r="D37" i="1"/>
  <c r="H36" i="1"/>
  <c r="G36" i="1"/>
  <c r="F36" i="1"/>
  <c r="E36" i="1"/>
  <c r="D34" i="1"/>
  <c r="D35" i="1"/>
  <c r="D36" i="1"/>
  <c r="E35" i="1"/>
  <c r="F35" i="1"/>
  <c r="G35" i="1"/>
  <c r="H35" i="1"/>
  <c r="G34" i="1"/>
  <c r="F34" i="1"/>
  <c r="E34" i="1"/>
  <c r="H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E22" i="1"/>
  <c r="F22" i="1"/>
  <c r="G22" i="1"/>
  <c r="H22" i="1"/>
  <c r="H21" i="1"/>
  <c r="G21" i="1"/>
  <c r="F21" i="1"/>
  <c r="E21" i="1"/>
  <c r="D21" i="1"/>
  <c r="D22" i="1"/>
  <c r="H20" i="1"/>
  <c r="G20" i="1"/>
  <c r="F20" i="1"/>
  <c r="E20" i="1"/>
  <c r="D20" i="1"/>
  <c r="D19" i="1"/>
  <c r="E19" i="1"/>
  <c r="F19" i="1"/>
  <c r="G19" i="1"/>
  <c r="H19" i="1"/>
  <c r="H17" i="1"/>
  <c r="G17" i="1"/>
  <c r="F17" i="1"/>
  <c r="E17" i="1"/>
  <c r="D17" i="1"/>
  <c r="H13" i="1"/>
  <c r="G13" i="1"/>
  <c r="E13" i="1"/>
  <c r="F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G9" i="1"/>
  <c r="F9" i="1"/>
  <c r="E9" i="1"/>
  <c r="D9" i="1"/>
  <c r="D7" i="1"/>
  <c r="D8" i="1"/>
  <c r="E7" i="1"/>
  <c r="F7" i="1"/>
  <c r="G7" i="1"/>
  <c r="H7" i="1"/>
  <c r="H8" i="1"/>
  <c r="H9" i="1"/>
  <c r="G8" i="1"/>
  <c r="F8" i="1"/>
  <c r="E8" i="1"/>
  <c r="H6" i="1"/>
  <c r="G6" i="1"/>
  <c r="F6" i="1"/>
  <c r="E6" i="1"/>
  <c r="D6" i="1"/>
  <c r="H5" i="1"/>
  <c r="G5" i="1"/>
  <c r="F5" i="1"/>
  <c r="E5" i="1"/>
  <c r="H4" i="1"/>
  <c r="G4" i="1"/>
  <c r="F4" i="1"/>
  <c r="E4" i="1"/>
  <c r="D4" i="1"/>
  <c r="L3" i="1" l="1"/>
  <c r="K3" i="1"/>
  <c r="O3" i="1"/>
  <c r="N3" i="1"/>
  <c r="M3" i="1"/>
</calcChain>
</file>

<file path=xl/sharedStrings.xml><?xml version="1.0" encoding="utf-8"?>
<sst xmlns="http://schemas.openxmlformats.org/spreadsheetml/2006/main" count="172" uniqueCount="91">
  <si>
    <t>Carboidrato</t>
  </si>
  <si>
    <t>Proteínas</t>
  </si>
  <si>
    <t>Lipídios</t>
  </si>
  <si>
    <t>Kcal</t>
  </si>
  <si>
    <t>Gramas</t>
  </si>
  <si>
    <t>Alimento</t>
  </si>
  <si>
    <t>Estado</t>
  </si>
  <si>
    <t>Batata Doce</t>
  </si>
  <si>
    <t>Mandioca</t>
  </si>
  <si>
    <t>Inhame</t>
  </si>
  <si>
    <t>Arroz Integral</t>
  </si>
  <si>
    <t>Quinoa</t>
  </si>
  <si>
    <t>Aveia</t>
  </si>
  <si>
    <t>Feijão Preto</t>
  </si>
  <si>
    <t>Feijão Branco</t>
  </si>
  <si>
    <t>Lentilha</t>
  </si>
  <si>
    <t>Amaranto</t>
  </si>
  <si>
    <t>Ervilha</t>
  </si>
  <si>
    <t>Grão de Bico</t>
  </si>
  <si>
    <t>Assada</t>
  </si>
  <si>
    <t>Cozida</t>
  </si>
  <si>
    <t>Assado</t>
  </si>
  <si>
    <t>Cozido</t>
  </si>
  <si>
    <t>Milho verde</t>
  </si>
  <si>
    <t>Congelado</t>
  </si>
  <si>
    <t>Castanha do Pará</t>
  </si>
  <si>
    <t>Castanha de Caju</t>
  </si>
  <si>
    <t>Noz as Macadâmia</t>
  </si>
  <si>
    <t>Amendoim</t>
  </si>
  <si>
    <t>Chia</t>
  </si>
  <si>
    <t>Pasta de Amendoim</t>
  </si>
  <si>
    <t>Abacate</t>
  </si>
  <si>
    <t>Avocado</t>
  </si>
  <si>
    <t>Couve de Bruxélas</t>
  </si>
  <si>
    <t>Soja</t>
  </si>
  <si>
    <t>Semente de Abóbora</t>
  </si>
  <si>
    <t>Pistache</t>
  </si>
  <si>
    <t>Amêndoas</t>
  </si>
  <si>
    <t>Espinafre</t>
  </si>
  <si>
    <t>Fibras</t>
  </si>
  <si>
    <t>Flocos / Laminada</t>
  </si>
  <si>
    <t>Feijão Vermelho</t>
  </si>
  <si>
    <t>Ervilha partida</t>
  </si>
  <si>
    <t xml:space="preserve">  CARBOIDRATOS</t>
  </si>
  <si>
    <t>PROTEÍNAS</t>
  </si>
  <si>
    <t>LIPIÍDIOS</t>
  </si>
  <si>
    <t>Torrada sem sal</t>
  </si>
  <si>
    <t>cru</t>
  </si>
  <si>
    <t>Torrado com sal</t>
  </si>
  <si>
    <t>Nozes chileno</t>
  </si>
  <si>
    <t>cru sem casca</t>
  </si>
  <si>
    <t>Linhaça Marrom</t>
  </si>
  <si>
    <t>Torrado</t>
  </si>
  <si>
    <t>Tabela de Composição de Alimentos da Unicamp</t>
  </si>
  <si>
    <t>torrado</t>
  </si>
  <si>
    <t>Brócolis</t>
  </si>
  <si>
    <t>Aspargo</t>
  </si>
  <si>
    <t>Tomate</t>
  </si>
  <si>
    <t>Cebola</t>
  </si>
  <si>
    <t>VERDURAS</t>
  </si>
  <si>
    <t>FRUTAS</t>
  </si>
  <si>
    <t>Pepino</t>
  </si>
  <si>
    <t xml:space="preserve">Couve </t>
  </si>
  <si>
    <t>Couve Flor</t>
  </si>
  <si>
    <t>Cru</t>
  </si>
  <si>
    <t>Banana Prata</t>
  </si>
  <si>
    <t>Maçã Fuji</t>
  </si>
  <si>
    <t>Mamão Papaia</t>
  </si>
  <si>
    <t>Morango</t>
  </si>
  <si>
    <t>Melancia</t>
  </si>
  <si>
    <t>Pêra</t>
  </si>
  <si>
    <t>Uva</t>
  </si>
  <si>
    <t>Uva Passa</t>
  </si>
  <si>
    <t>Manga Palmer</t>
  </si>
  <si>
    <t>Abacaxi</t>
  </si>
  <si>
    <t xml:space="preserve">TACO - Tabela de Composição de Alimentos </t>
  </si>
  <si>
    <t>Departamento de Informática em Saúde EPM - UNIFESP</t>
  </si>
  <si>
    <t>Tabela de Composição de Alimentos da USP</t>
  </si>
  <si>
    <t xml:space="preserve">USDA Base de Dados Nacional de Nutrientes para Referência Padrão </t>
  </si>
  <si>
    <t>Elaborado por: Giancarlo Eidler</t>
  </si>
  <si>
    <t>AVISO:</t>
  </si>
  <si>
    <t>Esta tablela não substitui o trabalho de um profissional;</t>
  </si>
  <si>
    <t xml:space="preserve">Consiste de um guia para consulta de dados. </t>
  </si>
  <si>
    <t>Lipídio</t>
  </si>
  <si>
    <t>Fibra</t>
  </si>
  <si>
    <t>Proteína</t>
  </si>
  <si>
    <t>Total</t>
  </si>
  <si>
    <t>Esta tabela programada utilizou dados coletados das respectivas fontes:</t>
  </si>
  <si>
    <t>Feijão Carioca</t>
  </si>
  <si>
    <t>Cenoura</t>
  </si>
  <si>
    <t>A coluna de "grama" é a única alterável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</si>
</sst>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0"/>
      <color rgb="FF444444"/>
      <name val="Arial"/>
      <family val="2"/>
    </font>
    <font>
      <sz val="11"/>
      <color rgb="FF2121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14" borderId="1" xfId="0" applyFill="1" applyBorder="1"/>
    <xf numFmtId="0" fontId="0" fillId="12" borderId="3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12" borderId="14" xfId="0" applyFill="1" applyBorder="1"/>
    <xf numFmtId="0" fontId="0" fillId="12" borderId="15" xfId="0" applyFill="1" applyBorder="1"/>
    <xf numFmtId="0" fontId="0" fillId="12" borderId="16" xfId="0" applyFill="1" applyBorder="1"/>
    <xf numFmtId="0" fontId="0" fillId="0" borderId="0" xfId="0" applyProtection="1"/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Protection="1"/>
    <xf numFmtId="0" fontId="0" fillId="12" borderId="6" xfId="0" applyFill="1" applyBorder="1" applyProtection="1"/>
    <xf numFmtId="0" fontId="0" fillId="12" borderId="7" xfId="0" applyFill="1" applyBorder="1" applyProtection="1"/>
    <xf numFmtId="0" fontId="0" fillId="12" borderId="8" xfId="0" applyFill="1" applyBorder="1" applyProtection="1"/>
    <xf numFmtId="0" fontId="0" fillId="4" borderId="9" xfId="0" applyFill="1" applyBorder="1" applyProtection="1"/>
    <xf numFmtId="0" fontId="0" fillId="4" borderId="0" xfId="0" applyFill="1" applyBorder="1" applyProtection="1"/>
    <xf numFmtId="0" fontId="0" fillId="4" borderId="10" xfId="0" applyFill="1" applyBorder="1" applyProtection="1"/>
    <xf numFmtId="0" fontId="3" fillId="4" borderId="9" xfId="0" applyFont="1" applyFill="1" applyBorder="1" applyProtection="1"/>
    <xf numFmtId="0" fontId="0" fillId="4" borderId="0" xfId="0" applyFont="1" applyFill="1" applyBorder="1" applyProtection="1"/>
    <xf numFmtId="0" fontId="0" fillId="4" borderId="10" xfId="0" applyFont="1" applyFill="1" applyBorder="1" applyProtection="1"/>
    <xf numFmtId="0" fontId="0" fillId="4" borderId="11" xfId="0" applyFill="1" applyBorder="1" applyProtection="1"/>
    <xf numFmtId="0" fontId="0" fillId="4" borderId="12" xfId="0" applyFill="1" applyBorder="1" applyProtection="1"/>
    <xf numFmtId="0" fontId="0" fillId="4" borderId="13" xfId="0" applyFill="1" applyBorder="1" applyProtection="1"/>
    <xf numFmtId="0" fontId="5" fillId="15" borderId="6" xfId="0" applyFont="1" applyFill="1" applyBorder="1" applyProtection="1"/>
    <xf numFmtId="0" fontId="0" fillId="15" borderId="7" xfId="0" applyFill="1" applyBorder="1" applyProtection="1"/>
    <xf numFmtId="0" fontId="0" fillId="15" borderId="8" xfId="0" applyFill="1" applyBorder="1" applyProtection="1"/>
    <xf numFmtId="0" fontId="4" fillId="2" borderId="9" xfId="0" applyFont="1" applyFill="1" applyBorder="1" applyProtection="1"/>
    <xf numFmtId="0" fontId="0" fillId="2" borderId="0" xfId="0" applyFill="1" applyBorder="1" applyProtection="1"/>
    <xf numFmtId="0" fontId="0" fillId="2" borderId="10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9" borderId="1" xfId="0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0" borderId="1" xfId="0" applyBorder="1" applyProtection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 applyAlignment="1" applyProtection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 applyProtection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 applyProtection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 applyProtection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 applyProtection="1">
      <alignment horizontal="center"/>
    </xf>
    <xf numFmtId="0" fontId="0" fillId="15" borderId="14" xfId="0" applyFill="1" applyBorder="1" applyAlignment="1" applyProtection="1">
      <alignment horizontal="center"/>
    </xf>
    <xf numFmtId="0" fontId="0" fillId="15" borderId="15" xfId="0" applyFill="1" applyBorder="1" applyAlignment="1" applyProtection="1">
      <alignment horizontal="center"/>
    </xf>
    <xf numFmtId="0" fontId="0" fillId="15" borderId="16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zoomScale="80" zoomScaleNormal="80" workbookViewId="0">
      <selection activeCell="C6" sqref="C6"/>
    </sheetView>
  </sheetViews>
  <sheetFormatPr defaultRowHeight="15" x14ac:dyDescent="0.25"/>
  <cols>
    <col min="1" max="1" width="21.5703125" customWidth="1"/>
    <col min="2" max="2" width="19.140625" customWidth="1"/>
    <col min="3" max="3" width="18.28515625" customWidth="1"/>
    <col min="4" max="4" width="18" customWidth="1"/>
    <col min="5" max="5" width="18.42578125" customWidth="1"/>
    <col min="6" max="7" width="18.28515625" customWidth="1"/>
    <col min="8" max="8" width="17.42578125" customWidth="1"/>
    <col min="10" max="10" width="9.140625" customWidth="1"/>
    <col min="11" max="11" width="9" customWidth="1"/>
    <col min="12" max="12" width="13.42578125" customWidth="1"/>
    <col min="13" max="13" width="11.140625" customWidth="1"/>
  </cols>
  <sheetData>
    <row r="1" spans="1:15" ht="15.75" thickBot="1" x14ac:dyDescent="0.3">
      <c r="C1" s="11"/>
    </row>
    <row r="2" spans="1:15" ht="15.75" thickBot="1" x14ac:dyDescent="0.3">
      <c r="A2" s="39" t="s">
        <v>43</v>
      </c>
      <c r="B2" s="40"/>
      <c r="C2" s="40"/>
      <c r="D2" s="40"/>
      <c r="E2" s="40"/>
      <c r="F2" s="40"/>
      <c r="G2" s="40"/>
      <c r="H2" s="41"/>
      <c r="K2" s="8" t="s">
        <v>3</v>
      </c>
      <c r="L2" s="9" t="s">
        <v>0</v>
      </c>
      <c r="M2" s="9" t="s">
        <v>85</v>
      </c>
      <c r="N2" s="9" t="s">
        <v>83</v>
      </c>
      <c r="O2" s="10" t="s">
        <v>84</v>
      </c>
    </row>
    <row r="3" spans="1:15" ht="15.75" thickBot="1" x14ac:dyDescent="0.3">
      <c r="A3" s="54" t="s">
        <v>5</v>
      </c>
      <c r="B3" s="54" t="s">
        <v>6</v>
      </c>
      <c r="C3" s="55" t="s">
        <v>4</v>
      </c>
      <c r="D3" s="54" t="s">
        <v>3</v>
      </c>
      <c r="E3" s="54" t="s">
        <v>0</v>
      </c>
      <c r="F3" s="54" t="s">
        <v>1</v>
      </c>
      <c r="G3" s="54" t="s">
        <v>2</v>
      </c>
      <c r="H3" s="54" t="s">
        <v>39</v>
      </c>
      <c r="J3" s="4" t="s">
        <v>86</v>
      </c>
      <c r="K3" s="5">
        <f>D4+D5+D6+D7+D8+D9+D10+D11+D12+D13+D17+D18+D19+D20+D21+D22+D23+D24+D25+D29+D30+D31+D32+D33+D34+D35+D36+D38+D39+D40+D41+D42+D43+D44+D48+D49+D50+D51+D52+D53+D54+D55+D56+D57+D61+D62+D63+D64+D65+D66+D67+D68+D69+D70</f>
        <v>0</v>
      </c>
      <c r="L3" s="6">
        <f>E4+E5+E6+E7+E8+E9+E10+E11+E12+E13+E17+E18+E19+E20+E21+E22+E23+E24+E25+E29+E30+E31+E32+E33+E34+E35+E36+E38+E39+E40+E41+E42+E43+E44+E48+E49+E50+E51+E52+E53+E54+E55+E56+E57+E61+E62+E63+E64+E65+E66+E67+E68+E69+E70</f>
        <v>0</v>
      </c>
      <c r="M3" s="6">
        <f>F4+F5+F6+F7+F8+F9+F10+F11+F12+F13+F17+F18+F19+F20+F21+F22+F23+F24+F25+F29+F30+F31+F32+F33+F34+F35+F36+F38+F39+F40+F41+F42+F43+F44+F48+F49+F50+F51+F52+F53+F54+F55+F56+F57+F61+F62+F63+F64+F65+F66+F67+F68+F69+F70</f>
        <v>0</v>
      </c>
      <c r="N3" s="6">
        <f>G4+G5+G6+G7+G8+G9+G10+G11+G12+G13+G17+G18+G19+G20+G21+G22+G23+G24+G25+G29+G30+G31+G32+G33+G34+G35+G36+G38+G39+G40+G41+G42+G43+G44+G48+G49+G50+G51+G52+G53+G54+G55+G56+G57+G61+G62+G63+G64+G65+G66+G67+G68+G69+G70</f>
        <v>0</v>
      </c>
      <c r="O3" s="7">
        <f>H4+H5+H6+H7+H8+H9+H10+H11+H12+H13+H17+H18+H19+H20+H21+H22+H23+H24+H25+H29+H30+H31+H32+H33+H34+H35+H36+H38+H39+H40+H41+H42+H43+H44+H48+H49+H50+H51+H52+H53+H54+H55+H56+H57+H61+H62+H63+H64+H65+H66+H67+H68+H69+H70</f>
        <v>0</v>
      </c>
    </row>
    <row r="4" spans="1:15" x14ac:dyDescent="0.25">
      <c r="A4" s="1" t="s">
        <v>7</v>
      </c>
      <c r="B4" s="1" t="s">
        <v>19</v>
      </c>
      <c r="C4" s="36">
        <v>0</v>
      </c>
      <c r="D4" s="38">
        <f>90*C4/100</f>
        <v>0</v>
      </c>
      <c r="E4" s="1">
        <f>20.71*C4/100</f>
        <v>0</v>
      </c>
      <c r="F4" s="1">
        <f>2.01*C4/100</f>
        <v>0</v>
      </c>
      <c r="G4" s="1">
        <f>0.15*C4/100</f>
        <v>0</v>
      </c>
      <c r="H4" s="1">
        <f>3.3*C4/100</f>
        <v>0</v>
      </c>
    </row>
    <row r="5" spans="1:15" x14ac:dyDescent="0.25">
      <c r="A5" s="1" t="s">
        <v>7</v>
      </c>
      <c r="B5" s="1" t="s">
        <v>20</v>
      </c>
      <c r="C5" s="36">
        <v>0</v>
      </c>
      <c r="D5" s="38">
        <f>76.8*C5/100</f>
        <v>0</v>
      </c>
      <c r="E5" s="1">
        <f>17.72*C5/100</f>
        <v>0</v>
      </c>
      <c r="F5" s="1">
        <f>1.37*C5/100</f>
        <v>0</v>
      </c>
      <c r="G5" s="1">
        <f>0.14*C5/100</f>
        <v>0</v>
      </c>
      <c r="H5" s="1">
        <f>2.5*C5/100</f>
        <v>0</v>
      </c>
    </row>
    <row r="6" spans="1:15" x14ac:dyDescent="0.25">
      <c r="A6" s="1" t="s">
        <v>9</v>
      </c>
      <c r="B6" s="1" t="s">
        <v>21</v>
      </c>
      <c r="C6" s="36">
        <v>0</v>
      </c>
      <c r="D6" s="38">
        <f>116*C6/100</f>
        <v>0</v>
      </c>
      <c r="E6" s="1">
        <f>27.48*C6/100</f>
        <v>0</v>
      </c>
      <c r="F6" s="1">
        <f>1.49*C6/100</f>
        <v>0</v>
      </c>
      <c r="G6" s="1">
        <f>0.14*C6/100</f>
        <v>0</v>
      </c>
      <c r="H6" s="1">
        <f>3.9*C6/100</f>
        <v>0</v>
      </c>
    </row>
    <row r="7" spans="1:15" x14ac:dyDescent="0.25">
      <c r="A7" s="1" t="s">
        <v>9</v>
      </c>
      <c r="B7" s="1" t="s">
        <v>22</v>
      </c>
      <c r="C7" s="36">
        <v>0</v>
      </c>
      <c r="D7" s="38">
        <f>114*C7/100</f>
        <v>0</v>
      </c>
      <c r="E7" s="1">
        <f>26.99*C7/100</f>
        <v>0</v>
      </c>
      <c r="F7" s="1">
        <f>1.49*C7/100</f>
        <v>0</v>
      </c>
      <c r="G7" s="1">
        <f>0.14*C7/100</f>
        <v>0</v>
      </c>
      <c r="H7" s="1">
        <f>3.9*C7/100</f>
        <v>0</v>
      </c>
    </row>
    <row r="8" spans="1:15" x14ac:dyDescent="0.25">
      <c r="A8" s="1" t="s">
        <v>8</v>
      </c>
      <c r="B8" s="1" t="s">
        <v>20</v>
      </c>
      <c r="C8" s="36">
        <v>0</v>
      </c>
      <c r="D8" s="38">
        <f>125*C8/100</f>
        <v>0</v>
      </c>
      <c r="E8" s="1">
        <f>30.1*C8/100</f>
        <v>0</v>
      </c>
      <c r="F8" s="1">
        <f>0.6*C8/100</f>
        <v>0</v>
      </c>
      <c r="G8" s="1">
        <f>0.3*C8/100</f>
        <v>0</v>
      </c>
      <c r="H8" s="1">
        <f>1.6*C8/100</f>
        <v>0</v>
      </c>
    </row>
    <row r="9" spans="1:15" x14ac:dyDescent="0.25">
      <c r="A9" s="1" t="s">
        <v>10</v>
      </c>
      <c r="B9" s="1" t="s">
        <v>22</v>
      </c>
      <c r="C9" s="36">
        <v>0</v>
      </c>
      <c r="D9" s="38">
        <f>112*C9/100</f>
        <v>0</v>
      </c>
      <c r="E9" s="1">
        <f>23.51*C9/100</f>
        <v>0</v>
      </c>
      <c r="F9" s="1">
        <f>2.32*C9/100</f>
        <v>0</v>
      </c>
      <c r="G9" s="1">
        <f>0.83*C9/100</f>
        <v>0</v>
      </c>
      <c r="H9" s="1">
        <f>1.8*C9/100</f>
        <v>0</v>
      </c>
    </row>
    <row r="10" spans="1:15" x14ac:dyDescent="0.25">
      <c r="A10" s="1" t="s">
        <v>11</v>
      </c>
      <c r="B10" s="1" t="s">
        <v>22</v>
      </c>
      <c r="C10" s="36">
        <v>0</v>
      </c>
      <c r="D10" s="38">
        <f>120*C10/100</f>
        <v>0</v>
      </c>
      <c r="E10" s="1">
        <f>21.3*C10/100</f>
        <v>0</v>
      </c>
      <c r="F10" s="1">
        <f>4.4*C10/100</f>
        <v>0</v>
      </c>
      <c r="G10" s="1">
        <f>1.92*C10/100</f>
        <v>0</v>
      </c>
      <c r="H10" s="1">
        <f>2.8*C10/100</f>
        <v>0</v>
      </c>
    </row>
    <row r="11" spans="1:15" x14ac:dyDescent="0.25">
      <c r="A11" s="1" t="s">
        <v>16</v>
      </c>
      <c r="B11" s="1" t="s">
        <v>22</v>
      </c>
      <c r="C11" s="36">
        <v>0</v>
      </c>
      <c r="D11" s="38">
        <f>102*C11/100</f>
        <v>0</v>
      </c>
      <c r="E11" s="1">
        <f>18.7*C11/100</f>
        <v>0</v>
      </c>
      <c r="F11" s="1">
        <f>3.8*C11/100</f>
        <v>0</v>
      </c>
      <c r="G11" s="1">
        <f>1.6*C11/100</f>
        <v>0</v>
      </c>
      <c r="H11" s="1">
        <f>2.1*C11/100</f>
        <v>0</v>
      </c>
    </row>
    <row r="12" spans="1:15" x14ac:dyDescent="0.25">
      <c r="A12" s="1" t="s">
        <v>12</v>
      </c>
      <c r="B12" s="1" t="s">
        <v>40</v>
      </c>
      <c r="C12" s="36">
        <v>0</v>
      </c>
      <c r="D12" s="38">
        <f>389*C12/100</f>
        <v>0</v>
      </c>
      <c r="E12" s="1">
        <f>66.3*C12/100</f>
        <v>0</v>
      </c>
      <c r="F12" s="1">
        <f>16.9*C12/100</f>
        <v>0</v>
      </c>
      <c r="G12" s="1">
        <f>6.9*C12/100</f>
        <v>0</v>
      </c>
      <c r="H12" s="1">
        <f>10.6*C12/100</f>
        <v>0</v>
      </c>
    </row>
    <row r="13" spans="1:15" x14ac:dyDescent="0.25">
      <c r="A13" s="1" t="s">
        <v>23</v>
      </c>
      <c r="B13" s="1" t="s">
        <v>22</v>
      </c>
      <c r="C13" s="36">
        <v>0</v>
      </c>
      <c r="D13" s="38">
        <f>96*C13/100</f>
        <v>0</v>
      </c>
      <c r="E13" s="1">
        <f>21*C13/100</f>
        <v>0</v>
      </c>
      <c r="F13" s="1">
        <f>3.4*C13/100</f>
        <v>0</v>
      </c>
      <c r="G13" s="1">
        <f>1.5*C13/100</f>
        <v>0</v>
      </c>
      <c r="H13" s="1">
        <f>2.4*C13/100</f>
        <v>0</v>
      </c>
    </row>
    <row r="14" spans="1:15" ht="15.75" thickBot="1" x14ac:dyDescent="0.3">
      <c r="C14" s="11"/>
    </row>
    <row r="15" spans="1:15" x14ac:dyDescent="0.25">
      <c r="A15" s="42" t="s">
        <v>44</v>
      </c>
      <c r="B15" s="43"/>
      <c r="C15" s="43"/>
      <c r="D15" s="43"/>
      <c r="E15" s="43"/>
      <c r="F15" s="43"/>
      <c r="G15" s="43"/>
      <c r="H15" s="44"/>
    </row>
    <row r="16" spans="1:15" x14ac:dyDescent="0.25">
      <c r="A16" s="56" t="s">
        <v>5</v>
      </c>
      <c r="B16" s="56" t="s">
        <v>6</v>
      </c>
      <c r="C16" s="57" t="s">
        <v>4</v>
      </c>
      <c r="D16" s="56" t="s">
        <v>3</v>
      </c>
      <c r="E16" s="56" t="s">
        <v>0</v>
      </c>
      <c r="F16" s="56" t="s">
        <v>1</v>
      </c>
      <c r="G16" s="56" t="s">
        <v>2</v>
      </c>
      <c r="H16" s="56" t="s">
        <v>39</v>
      </c>
    </row>
    <row r="17" spans="1:8" x14ac:dyDescent="0.25">
      <c r="A17" s="1" t="s">
        <v>13</v>
      </c>
      <c r="B17" s="1" t="s">
        <v>22</v>
      </c>
      <c r="C17" s="36">
        <v>0</v>
      </c>
      <c r="D17" s="1">
        <f>132*C17/100</f>
        <v>0</v>
      </c>
      <c r="E17" s="1">
        <f>23.71*C17/100</f>
        <v>0</v>
      </c>
      <c r="F17" s="1">
        <f>8.86*C17/100</f>
        <v>0</v>
      </c>
      <c r="G17" s="1">
        <f>0.54*C17/100</f>
        <v>0</v>
      </c>
      <c r="H17" s="1">
        <f>8.7*C17/100</f>
        <v>0</v>
      </c>
    </row>
    <row r="18" spans="1:8" x14ac:dyDescent="0.25">
      <c r="A18" s="1" t="s">
        <v>88</v>
      </c>
      <c r="B18" s="1" t="s">
        <v>22</v>
      </c>
      <c r="C18" s="36">
        <v>0</v>
      </c>
      <c r="D18" s="1">
        <f>76.4*C18/100</f>
        <v>0</v>
      </c>
      <c r="E18" s="1">
        <f>13.6*C18/100</f>
        <v>0</v>
      </c>
      <c r="F18" s="1">
        <f>4.8*C18/100</f>
        <v>0</v>
      </c>
      <c r="G18" s="1">
        <f>0.1*C18/100</f>
        <v>0</v>
      </c>
      <c r="H18" s="1">
        <f>8.5*C18/100</f>
        <v>0</v>
      </c>
    </row>
    <row r="19" spans="1:8" x14ac:dyDescent="0.25">
      <c r="A19" s="1" t="s">
        <v>41</v>
      </c>
      <c r="B19" s="1" t="s">
        <v>22</v>
      </c>
      <c r="C19" s="36">
        <v>0</v>
      </c>
      <c r="D19" s="1">
        <f>127*C19/100</f>
        <v>0</v>
      </c>
      <c r="E19" s="1">
        <f>22.8*C19/100</f>
        <v>0</v>
      </c>
      <c r="F19" s="1">
        <f>8.67*C19/100</f>
        <v>0</v>
      </c>
      <c r="G19" s="1">
        <f>0.5*C19/100</f>
        <v>0</v>
      </c>
      <c r="H19" s="1">
        <f>7.4*C19/100</f>
        <v>0</v>
      </c>
    </row>
    <row r="20" spans="1:8" x14ac:dyDescent="0.25">
      <c r="A20" s="1" t="s">
        <v>14</v>
      </c>
      <c r="B20" s="1" t="s">
        <v>22</v>
      </c>
      <c r="C20" s="36">
        <v>0</v>
      </c>
      <c r="D20" s="1">
        <f>140*C20/100</f>
        <v>0</v>
      </c>
      <c r="E20" s="1">
        <f>26.05*C20/100</f>
        <v>0</v>
      </c>
      <c r="F20" s="1">
        <f>8.23*C20/100</f>
        <v>0</v>
      </c>
      <c r="G20" s="1">
        <f>0.62*C20/100</f>
        <v>0</v>
      </c>
      <c r="H20" s="1">
        <f>10.5*C20/100</f>
        <v>0</v>
      </c>
    </row>
    <row r="21" spans="1:8" x14ac:dyDescent="0.25">
      <c r="A21" s="1" t="s">
        <v>15</v>
      </c>
      <c r="B21" s="1" t="s">
        <v>22</v>
      </c>
      <c r="C21" s="36">
        <v>0</v>
      </c>
      <c r="D21" s="1">
        <f>114*C21/100</f>
        <v>0</v>
      </c>
      <c r="E21" s="1">
        <f>19.54*C21/100</f>
        <v>0</v>
      </c>
      <c r="F21" s="1">
        <f>9.02*C21/100</f>
        <v>0</v>
      </c>
      <c r="G21" s="1">
        <f>0.38*C21/100</f>
        <v>0</v>
      </c>
      <c r="H21" s="1">
        <f>7.9*C21/100</f>
        <v>0</v>
      </c>
    </row>
    <row r="22" spans="1:8" x14ac:dyDescent="0.25">
      <c r="A22" s="1" t="s">
        <v>42</v>
      </c>
      <c r="B22" s="1" t="s">
        <v>22</v>
      </c>
      <c r="C22" s="36">
        <v>0</v>
      </c>
      <c r="D22" s="1">
        <f>116*C22/100</f>
        <v>0</v>
      </c>
      <c r="E22" s="1">
        <f>20.51*C22/100</f>
        <v>0</v>
      </c>
      <c r="F22" s="1">
        <f>8.34*C22/100</f>
        <v>0</v>
      </c>
      <c r="G22" s="1">
        <f>0.39*C22/100</f>
        <v>0</v>
      </c>
      <c r="H22" s="1">
        <f>8.3*C22/100</f>
        <v>0</v>
      </c>
    </row>
    <row r="23" spans="1:8" x14ac:dyDescent="0.25">
      <c r="A23" s="1" t="s">
        <v>17</v>
      </c>
      <c r="B23" s="1" t="s">
        <v>24</v>
      </c>
      <c r="C23" s="36">
        <v>0</v>
      </c>
      <c r="D23" s="1">
        <f>79*C23/100</f>
        <v>0</v>
      </c>
      <c r="E23" s="1">
        <f>12.28*C23/100</f>
        <v>0</v>
      </c>
      <c r="F23" s="1">
        <f>6.85*C23/100</f>
        <v>0</v>
      </c>
      <c r="G23" s="1">
        <f>0.28*C23/100</f>
        <v>0</v>
      </c>
      <c r="H23" s="1">
        <f>4.71*C23/100</f>
        <v>0</v>
      </c>
    </row>
    <row r="24" spans="1:8" x14ac:dyDescent="0.25">
      <c r="A24" s="1" t="s">
        <v>18</v>
      </c>
      <c r="B24" s="1" t="s">
        <v>22</v>
      </c>
      <c r="C24" s="36">
        <v>0</v>
      </c>
      <c r="D24" s="1">
        <f>164*C24/100</f>
        <v>0</v>
      </c>
      <c r="E24" s="1">
        <f>27.42*C24/100</f>
        <v>0</v>
      </c>
      <c r="F24" s="1">
        <f>8.86*C24/100</f>
        <v>0</v>
      </c>
      <c r="G24" s="1">
        <f>2.59*C24/100</f>
        <v>0</v>
      </c>
      <c r="H24" s="1">
        <f>7.6*C24/100</f>
        <v>0</v>
      </c>
    </row>
    <row r="25" spans="1:8" x14ac:dyDescent="0.25">
      <c r="A25" s="1" t="s">
        <v>34</v>
      </c>
      <c r="B25" s="1" t="s">
        <v>22</v>
      </c>
      <c r="C25" s="36">
        <v>0</v>
      </c>
      <c r="D25" s="1">
        <f>141*C25/100</f>
        <v>0</v>
      </c>
      <c r="E25" s="1">
        <f>11.05*C25/100</f>
        <v>0</v>
      </c>
      <c r="F25" s="1">
        <f>12.35*C25/100</f>
        <v>0</v>
      </c>
      <c r="G25" s="1">
        <f>6.4*C25/100</f>
        <v>0</v>
      </c>
      <c r="H25" s="1">
        <f>4.2*C25/100</f>
        <v>0</v>
      </c>
    </row>
    <row r="26" spans="1:8" ht="15.75" thickBot="1" x14ac:dyDescent="0.3">
      <c r="C26" s="11"/>
    </row>
    <row r="27" spans="1:8" x14ac:dyDescent="0.25">
      <c r="A27" s="45" t="s">
        <v>45</v>
      </c>
      <c r="B27" s="46"/>
      <c r="C27" s="46"/>
      <c r="D27" s="46"/>
      <c r="E27" s="46"/>
      <c r="F27" s="46"/>
      <c r="G27" s="46"/>
      <c r="H27" s="47"/>
    </row>
    <row r="28" spans="1:8" x14ac:dyDescent="0.25">
      <c r="A28" s="58" t="s">
        <v>5</v>
      </c>
      <c r="B28" s="58" t="s">
        <v>6</v>
      </c>
      <c r="C28" s="59" t="s">
        <v>4</v>
      </c>
      <c r="D28" s="58" t="s">
        <v>3</v>
      </c>
      <c r="E28" s="58" t="s">
        <v>0</v>
      </c>
      <c r="F28" s="58" t="s">
        <v>1</v>
      </c>
      <c r="G28" s="58" t="s">
        <v>2</v>
      </c>
      <c r="H28" s="58" t="s">
        <v>39</v>
      </c>
    </row>
    <row r="29" spans="1:8" x14ac:dyDescent="0.25">
      <c r="A29" s="1" t="s">
        <v>25</v>
      </c>
      <c r="B29" s="1" t="s">
        <v>47</v>
      </c>
      <c r="C29" s="36">
        <v>0</v>
      </c>
      <c r="D29" s="1">
        <f>698*C29/100</f>
        <v>0</v>
      </c>
      <c r="E29" s="1">
        <f>12*C29/100</f>
        <v>0</v>
      </c>
      <c r="F29" s="1">
        <f>13*C29/100</f>
        <v>0</v>
      </c>
      <c r="G29" s="1">
        <f>55*C29/100</f>
        <v>0</v>
      </c>
      <c r="H29" s="1">
        <f>1.3*C29/100</f>
        <v>0</v>
      </c>
    </row>
    <row r="30" spans="1:8" x14ac:dyDescent="0.25">
      <c r="A30" s="1" t="s">
        <v>37</v>
      </c>
      <c r="B30" s="1" t="s">
        <v>47</v>
      </c>
      <c r="C30" s="36">
        <v>0</v>
      </c>
      <c r="D30" s="1">
        <f>575*C30/100</f>
        <v>0</v>
      </c>
      <c r="E30" s="1">
        <f>21.7*C30/100</f>
        <v>0</v>
      </c>
      <c r="F30" s="1">
        <f>21.2*C30/100</f>
        <v>0</v>
      </c>
      <c r="G30" s="1">
        <f>49.4*C30/100</f>
        <v>0</v>
      </c>
      <c r="H30" s="1">
        <f>12.2*C30/100</f>
        <v>0</v>
      </c>
    </row>
    <row r="31" spans="1:8" x14ac:dyDescent="0.25">
      <c r="A31" s="1" t="s">
        <v>28</v>
      </c>
      <c r="B31" s="1" t="s">
        <v>47</v>
      </c>
      <c r="C31" s="36">
        <v>0</v>
      </c>
      <c r="D31" s="1">
        <f>544*C31/100</f>
        <v>0</v>
      </c>
      <c r="E31" s="1">
        <f>20.3*C31/100</f>
        <v>0</v>
      </c>
      <c r="F31" s="1">
        <f>27.2*C31/100</f>
        <v>0</v>
      </c>
      <c r="G31" s="1">
        <f>42.1*C31/100</f>
        <v>0</v>
      </c>
      <c r="H31" s="1">
        <f>8*C31/100</f>
        <v>0</v>
      </c>
    </row>
    <row r="32" spans="1:8" x14ac:dyDescent="0.25">
      <c r="A32" s="1" t="s">
        <v>28</v>
      </c>
      <c r="B32" s="1" t="s">
        <v>48</v>
      </c>
      <c r="C32" s="36">
        <v>0</v>
      </c>
      <c r="D32" s="1">
        <f>605.8*C32/100</f>
        <v>0</v>
      </c>
      <c r="E32" s="1">
        <f>18.7*C32/100</f>
        <v>0</v>
      </c>
      <c r="F32" s="1">
        <f>22.5*C32/100</f>
        <v>0</v>
      </c>
      <c r="G32" s="1">
        <f>53*C32/100</f>
        <v>0</v>
      </c>
      <c r="H32" s="1">
        <f>7.8*C32/100</f>
        <v>0</v>
      </c>
    </row>
    <row r="33" spans="1:8" x14ac:dyDescent="0.25">
      <c r="A33" s="1" t="s">
        <v>30</v>
      </c>
      <c r="B33" s="1" t="s">
        <v>47</v>
      </c>
      <c r="C33" s="36">
        <v>0</v>
      </c>
      <c r="D33" s="1">
        <f>650*C33/100</f>
        <v>0</v>
      </c>
      <c r="E33" s="1">
        <f>14.2*C33/100</f>
        <v>0</v>
      </c>
      <c r="F33" s="1">
        <f>24.8*C33/100</f>
        <v>0</v>
      </c>
      <c r="G33" s="1">
        <f>54.9*C33/100</f>
        <v>0</v>
      </c>
      <c r="H33" s="1">
        <f>7.8*C33/100</f>
        <v>0</v>
      </c>
    </row>
    <row r="34" spans="1:8" x14ac:dyDescent="0.25">
      <c r="A34" s="1" t="s">
        <v>26</v>
      </c>
      <c r="B34" s="1" t="s">
        <v>46</v>
      </c>
      <c r="C34" s="36">
        <v>0</v>
      </c>
      <c r="D34" s="1">
        <f>574*C34/100</f>
        <v>0</v>
      </c>
      <c r="E34" s="1">
        <f>32.69*C34/100</f>
        <v>0</v>
      </c>
      <c r="F34" s="1">
        <f>15.31*C34/100</f>
        <v>0</v>
      </c>
      <c r="G34" s="1">
        <f>46.35*C34/100</f>
        <v>0</v>
      </c>
      <c r="H34" s="1">
        <f>3*C34/100</f>
        <v>0</v>
      </c>
    </row>
    <row r="35" spans="1:8" x14ac:dyDescent="0.25">
      <c r="A35" s="1" t="s">
        <v>27</v>
      </c>
      <c r="B35" s="1" t="s">
        <v>47</v>
      </c>
      <c r="C35" s="36">
        <v>0</v>
      </c>
      <c r="D35" s="1">
        <f>702*C35/100</f>
        <v>0</v>
      </c>
      <c r="E35" s="1">
        <f>13.7*C35/100</f>
        <v>0</v>
      </c>
      <c r="F35" s="1">
        <f>8.31*C35/100</f>
        <v>0</v>
      </c>
      <c r="G35" s="1">
        <f>73.7*C35/100</f>
        <v>0</v>
      </c>
      <c r="H35" s="1">
        <f>5.31*C35/100</f>
        <v>0</v>
      </c>
    </row>
    <row r="36" spans="1:8" x14ac:dyDescent="0.25">
      <c r="A36" s="1" t="s">
        <v>49</v>
      </c>
      <c r="B36" s="1" t="s">
        <v>50</v>
      </c>
      <c r="C36" s="36">
        <v>0</v>
      </c>
      <c r="D36" s="1">
        <f>666.7*C36/100</f>
        <v>0</v>
      </c>
      <c r="E36" s="1">
        <f>13.3*C36/100</f>
        <v>0</v>
      </c>
      <c r="F36" s="1">
        <f>15.3*C36/100</f>
        <v>0</v>
      </c>
      <c r="G36" s="1">
        <f>66.7*C36/100</f>
        <v>0</v>
      </c>
      <c r="H36" s="1">
        <f>6.7*C36/100</f>
        <v>0</v>
      </c>
    </row>
    <row r="37" spans="1:8" x14ac:dyDescent="0.25">
      <c r="A37" s="1" t="s">
        <v>29</v>
      </c>
      <c r="B37" s="1" t="s">
        <v>47</v>
      </c>
      <c r="C37" s="36">
        <v>0</v>
      </c>
      <c r="D37" s="1">
        <f>487*C37/100</f>
        <v>0</v>
      </c>
      <c r="E37" s="1">
        <f>42.1*C37/100</f>
        <v>0</v>
      </c>
      <c r="F37" s="1">
        <f>16.5*C37/100</f>
        <v>0</v>
      </c>
      <c r="G37" s="1">
        <f>30.7*C37/100</f>
        <v>0</v>
      </c>
      <c r="H37" s="1">
        <f>34.4*C37/100</f>
        <v>0</v>
      </c>
    </row>
    <row r="38" spans="1:8" x14ac:dyDescent="0.25">
      <c r="A38" s="1" t="s">
        <v>51</v>
      </c>
      <c r="B38" s="1" t="s">
        <v>47</v>
      </c>
      <c r="C38" s="36">
        <v>0</v>
      </c>
      <c r="D38" s="1">
        <f>493.3*C38/100</f>
        <v>0</v>
      </c>
      <c r="E38" s="1">
        <f>43.3*C38/100</f>
        <v>0</v>
      </c>
      <c r="F38" s="1">
        <f>14*C38/100</f>
        <v>0</v>
      </c>
      <c r="G38" s="1">
        <f>32*C38/100</f>
        <v>0</v>
      </c>
      <c r="H38" s="1">
        <f>33.3*C38/100</f>
        <v>0</v>
      </c>
    </row>
    <row r="39" spans="1:8" x14ac:dyDescent="0.25">
      <c r="A39" s="1" t="s">
        <v>31</v>
      </c>
      <c r="B39" s="1" t="s">
        <v>47</v>
      </c>
      <c r="C39" s="36">
        <v>0</v>
      </c>
      <c r="D39" s="1">
        <f>96.2*C39/100</f>
        <v>0</v>
      </c>
      <c r="E39" s="1">
        <f>6*C39/100</f>
        <v>0</v>
      </c>
      <c r="F39" s="1">
        <f>1.2*C39/100</f>
        <v>0</v>
      </c>
      <c r="G39" s="1">
        <f>8*C39/100</f>
        <v>0</v>
      </c>
      <c r="H39" s="1">
        <f>6.3*C39/100</f>
        <v>0</v>
      </c>
    </row>
    <row r="40" spans="1:8" x14ac:dyDescent="0.25">
      <c r="A40" s="1" t="s">
        <v>32</v>
      </c>
      <c r="B40" s="1" t="s">
        <v>47</v>
      </c>
      <c r="C40" s="36">
        <v>0</v>
      </c>
      <c r="D40" s="1">
        <f>160*C40/100</f>
        <v>0</v>
      </c>
      <c r="E40" s="1">
        <f>8.53*C40/100</f>
        <v>0</v>
      </c>
      <c r="F40" s="1">
        <f>2*C40/100</f>
        <v>0</v>
      </c>
      <c r="G40" s="1">
        <f>14.66*C40/100</f>
        <v>0</v>
      </c>
      <c r="H40" s="1">
        <f>6.7*C40/100</f>
        <v>0</v>
      </c>
    </row>
    <row r="41" spans="1:8" x14ac:dyDescent="0.25">
      <c r="A41" s="1" t="s">
        <v>35</v>
      </c>
      <c r="B41" s="1" t="s">
        <v>52</v>
      </c>
      <c r="C41" s="36">
        <v>0</v>
      </c>
      <c r="D41" s="1">
        <f>574*C41/100</f>
        <v>0</v>
      </c>
      <c r="E41" s="1">
        <f>14.7*C41/100</f>
        <v>0</v>
      </c>
      <c r="F41" s="1">
        <f>29.8*C41/100</f>
        <v>0</v>
      </c>
      <c r="G41" s="1">
        <f>49*C41/100</f>
        <v>0</v>
      </c>
      <c r="H41" s="1">
        <f>6.5*C41/100</f>
        <v>0</v>
      </c>
    </row>
    <row r="42" spans="1:8" x14ac:dyDescent="0.25">
      <c r="A42" s="1" t="s">
        <v>35</v>
      </c>
      <c r="B42" s="1" t="s">
        <v>47</v>
      </c>
      <c r="C42" s="36">
        <v>0</v>
      </c>
      <c r="D42" s="1">
        <f>559*C42/100</f>
        <v>0</v>
      </c>
      <c r="E42" s="1">
        <f>10.7*C42/100</f>
        <v>0</v>
      </c>
      <c r="F42" s="1">
        <f>30.2*C42/100</f>
        <v>0</v>
      </c>
      <c r="G42" s="1">
        <f>49*C42/100</f>
        <v>0</v>
      </c>
      <c r="H42" s="1">
        <f>6.2*C42/100</f>
        <v>0</v>
      </c>
    </row>
    <row r="43" spans="1:8" x14ac:dyDescent="0.25">
      <c r="A43" s="1" t="s">
        <v>36</v>
      </c>
      <c r="B43" s="1" t="s">
        <v>54</v>
      </c>
      <c r="C43" s="36">
        <v>0</v>
      </c>
      <c r="D43" s="1">
        <f>600*C43/100</f>
        <v>0</v>
      </c>
      <c r="E43" s="1">
        <f>30*C43/100</f>
        <v>0</v>
      </c>
      <c r="F43" s="1">
        <f>20*C43/100</f>
        <v>0</v>
      </c>
      <c r="G43" s="1">
        <f>45*C43/100</f>
        <v>0</v>
      </c>
      <c r="H43" s="1">
        <f>10*C43/100</f>
        <v>0</v>
      </c>
    </row>
    <row r="44" spans="1:8" x14ac:dyDescent="0.25">
      <c r="A44" s="1" t="s">
        <v>36</v>
      </c>
      <c r="B44" s="1" t="s">
        <v>47</v>
      </c>
      <c r="C44" s="36">
        <v>0</v>
      </c>
      <c r="D44" s="1">
        <f>562*C44/100</f>
        <v>0</v>
      </c>
      <c r="E44" s="1">
        <f>27.5*C44/100</f>
        <v>0</v>
      </c>
      <c r="F44" s="1">
        <f>20.3*C44/100</f>
        <v>0</v>
      </c>
      <c r="G44" s="1">
        <f>45.4*C44/100</f>
        <v>0</v>
      </c>
      <c r="H44" s="1">
        <f>10.3*C44/100</f>
        <v>0</v>
      </c>
    </row>
    <row r="45" spans="1:8" ht="15.75" thickBot="1" x14ac:dyDescent="0.3">
      <c r="C45" s="11"/>
    </row>
    <row r="46" spans="1:8" x14ac:dyDescent="0.25">
      <c r="A46" s="48" t="s">
        <v>59</v>
      </c>
      <c r="B46" s="49"/>
      <c r="C46" s="49"/>
      <c r="D46" s="49"/>
      <c r="E46" s="49"/>
      <c r="F46" s="49"/>
      <c r="G46" s="49"/>
      <c r="H46" s="50"/>
    </row>
    <row r="47" spans="1:8" x14ac:dyDescent="0.25">
      <c r="A47" s="60" t="s">
        <v>5</v>
      </c>
      <c r="B47" s="60" t="s">
        <v>6</v>
      </c>
      <c r="C47" s="61" t="s">
        <v>4</v>
      </c>
      <c r="D47" s="60" t="s">
        <v>3</v>
      </c>
      <c r="E47" s="60" t="s">
        <v>0</v>
      </c>
      <c r="F47" s="60" t="s">
        <v>1</v>
      </c>
      <c r="G47" s="60" t="s">
        <v>2</v>
      </c>
      <c r="H47" s="60" t="s">
        <v>39</v>
      </c>
    </row>
    <row r="48" spans="1:8" x14ac:dyDescent="0.25">
      <c r="A48" s="1" t="s">
        <v>56</v>
      </c>
      <c r="B48" s="1" t="s">
        <v>22</v>
      </c>
      <c r="C48" s="37">
        <v>0</v>
      </c>
      <c r="D48" s="1">
        <f>22*C48/100</f>
        <v>0</v>
      </c>
      <c r="E48" s="1">
        <f>4.11*C48/100</f>
        <v>0</v>
      </c>
      <c r="F48" s="1">
        <f>2.4*C48/100</f>
        <v>0</v>
      </c>
      <c r="G48" s="1">
        <f>0.22*C48/100</f>
        <v>0</v>
      </c>
      <c r="H48" s="1">
        <f>2*C48/100</f>
        <v>0</v>
      </c>
    </row>
    <row r="49" spans="1:8" x14ac:dyDescent="0.25">
      <c r="A49" s="1" t="s">
        <v>55</v>
      </c>
      <c r="B49" s="1" t="s">
        <v>22</v>
      </c>
      <c r="C49" s="37">
        <v>0</v>
      </c>
      <c r="D49" s="1">
        <f>35*C49/100</f>
        <v>0</v>
      </c>
      <c r="E49" s="1">
        <f>7.18*C49/100</f>
        <v>0</v>
      </c>
      <c r="F49" s="1">
        <f>2.38*C49/100</f>
        <v>0</v>
      </c>
      <c r="G49" s="1">
        <f>0.41*C49/100</f>
        <v>0</v>
      </c>
      <c r="H49" s="1">
        <f>3.3*C49/100</f>
        <v>0</v>
      </c>
    </row>
    <row r="50" spans="1:8" x14ac:dyDescent="0.25">
      <c r="A50" s="1" t="s">
        <v>33</v>
      </c>
      <c r="B50" s="1" t="s">
        <v>22</v>
      </c>
      <c r="C50" s="37">
        <v>0</v>
      </c>
      <c r="D50" s="1">
        <f>36*C50/100</f>
        <v>0</v>
      </c>
      <c r="E50" s="1">
        <f>7.1*C50/100</f>
        <v>0</v>
      </c>
      <c r="F50" s="1">
        <f>2.55*C50/100</f>
        <v>0</v>
      </c>
      <c r="G50" s="1">
        <f>0.5*C50/100</f>
        <v>0</v>
      </c>
      <c r="H50" s="1">
        <f>2.6*C50/100</f>
        <v>0</v>
      </c>
    </row>
    <row r="51" spans="1:8" x14ac:dyDescent="0.25">
      <c r="A51" s="1" t="s">
        <v>63</v>
      </c>
      <c r="B51" s="1" t="s">
        <v>22</v>
      </c>
      <c r="C51" s="37">
        <v>0</v>
      </c>
      <c r="D51" s="1">
        <f>23*C51/100</f>
        <v>0</v>
      </c>
      <c r="E51" s="1">
        <f>4.11*C51/100</f>
        <v>0</v>
      </c>
      <c r="F51" s="1">
        <f>1.84*C51/100</f>
        <v>0</v>
      </c>
      <c r="G51" s="1">
        <f>0.453*C51/100</f>
        <v>0</v>
      </c>
      <c r="H51" s="1">
        <f>2.33*C51/100</f>
        <v>0</v>
      </c>
    </row>
    <row r="52" spans="1:8" x14ac:dyDescent="0.25">
      <c r="A52" s="1" t="s">
        <v>38</v>
      </c>
      <c r="B52" s="1" t="s">
        <v>22</v>
      </c>
      <c r="C52" s="37">
        <v>0</v>
      </c>
      <c r="D52" s="1">
        <f>23*C52/100</f>
        <v>0</v>
      </c>
      <c r="E52" s="1">
        <f>3.75*C52/100</f>
        <v>0</v>
      </c>
      <c r="F52" s="1">
        <f>2.97*C52/100</f>
        <v>0</v>
      </c>
      <c r="G52" s="1">
        <f>0.26*C52/100</f>
        <v>0</v>
      </c>
      <c r="H52" s="1">
        <f>2.4*C52/100</f>
        <v>0</v>
      </c>
    </row>
    <row r="53" spans="1:8" x14ac:dyDescent="0.25">
      <c r="A53" s="1" t="s">
        <v>89</v>
      </c>
      <c r="B53" s="1" t="s">
        <v>64</v>
      </c>
      <c r="C53" s="37">
        <v>0</v>
      </c>
      <c r="D53" s="1">
        <f>34.1*C53/100</f>
        <v>0</v>
      </c>
      <c r="E53" s="1">
        <f>7.7*C53/100</f>
        <v>0</v>
      </c>
      <c r="F53" s="1">
        <f>1.3*C53/100</f>
        <v>0</v>
      </c>
      <c r="G53" s="1">
        <f>0.2*C53/100</f>
        <v>0</v>
      </c>
      <c r="H53" s="1">
        <f>3.2*C53/100</f>
        <v>0</v>
      </c>
    </row>
    <row r="54" spans="1:8" x14ac:dyDescent="0.25">
      <c r="A54" s="1" t="s">
        <v>57</v>
      </c>
      <c r="B54" s="1" t="s">
        <v>64</v>
      </c>
      <c r="C54" s="37">
        <v>0</v>
      </c>
      <c r="D54" s="1">
        <f>15.3*C54/100</f>
        <v>0</v>
      </c>
      <c r="E54" s="1">
        <f>3.89*C54/100</f>
        <v>0</v>
      </c>
      <c r="F54" s="1">
        <f>0.88*C54/100</f>
        <v>0</v>
      </c>
      <c r="G54" s="1">
        <f>0.2*C54/100</f>
        <v>0</v>
      </c>
      <c r="H54" s="1">
        <f>1.2*C54/100</f>
        <v>0</v>
      </c>
    </row>
    <row r="55" spans="1:8" x14ac:dyDescent="0.25">
      <c r="A55" s="1" t="s">
        <v>58</v>
      </c>
      <c r="B55" s="1" t="s">
        <v>64</v>
      </c>
      <c r="C55" s="37">
        <v>0</v>
      </c>
      <c r="D55" s="1">
        <f>40*C55/100</f>
        <v>0</v>
      </c>
      <c r="E55" s="1">
        <f>9.34*C55/100</f>
        <v>0</v>
      </c>
      <c r="F55" s="1">
        <f>1.1*C55/100</f>
        <v>0</v>
      </c>
      <c r="G55" s="1">
        <f>0.1*C55/100</f>
        <v>0</v>
      </c>
      <c r="H55" s="1">
        <f>1.7*C55/100</f>
        <v>0</v>
      </c>
    </row>
    <row r="56" spans="1:8" x14ac:dyDescent="0.25">
      <c r="A56" s="2" t="s">
        <v>61</v>
      </c>
      <c r="B56" s="1" t="s">
        <v>64</v>
      </c>
      <c r="C56" s="37">
        <v>0</v>
      </c>
      <c r="D56" s="1">
        <f>15*C56/100</f>
        <v>0</v>
      </c>
      <c r="E56" s="1">
        <f>3.63*C56/100</f>
        <v>0</v>
      </c>
      <c r="F56" s="1">
        <f>0.65*C56/100</f>
        <v>0</v>
      </c>
      <c r="G56" s="1">
        <f>0.11*C56/100</f>
        <v>0</v>
      </c>
      <c r="H56" s="1">
        <f>0.5*C56/100</f>
        <v>0</v>
      </c>
    </row>
    <row r="57" spans="1:8" x14ac:dyDescent="0.25">
      <c r="A57" s="2" t="s">
        <v>62</v>
      </c>
      <c r="B57" s="1" t="s">
        <v>64</v>
      </c>
      <c r="C57" s="37">
        <v>0</v>
      </c>
      <c r="D57" s="1">
        <f>32*C57/100</f>
        <v>0</v>
      </c>
      <c r="E57" s="1">
        <f>5.42*C57/100</f>
        <v>0</v>
      </c>
      <c r="F57" s="1">
        <f>3.02*C57/100</f>
        <v>0</v>
      </c>
      <c r="G57" s="1">
        <f>0.61*C57/100</f>
        <v>0</v>
      </c>
      <c r="H57" s="1">
        <f>4*C57/100</f>
        <v>0</v>
      </c>
    </row>
    <row r="58" spans="1:8" ht="15.75" thickBot="1" x14ac:dyDescent="0.3">
      <c r="C58" s="11"/>
    </row>
    <row r="59" spans="1:8" x14ac:dyDescent="0.25">
      <c r="A59" s="51" t="s">
        <v>60</v>
      </c>
      <c r="B59" s="52"/>
      <c r="C59" s="52"/>
      <c r="D59" s="52"/>
      <c r="E59" s="52"/>
      <c r="F59" s="52"/>
      <c r="G59" s="52"/>
      <c r="H59" s="53"/>
    </row>
    <row r="60" spans="1:8" x14ac:dyDescent="0.25">
      <c r="A60" s="62" t="s">
        <v>5</v>
      </c>
      <c r="B60" s="62" t="s">
        <v>6</v>
      </c>
      <c r="C60" s="63" t="s">
        <v>4</v>
      </c>
      <c r="D60" s="62" t="s">
        <v>3</v>
      </c>
      <c r="E60" s="62" t="s">
        <v>0</v>
      </c>
      <c r="F60" s="62" t="s">
        <v>1</v>
      </c>
      <c r="G60" s="62" t="s">
        <v>2</v>
      </c>
      <c r="H60" s="62" t="s">
        <v>39</v>
      </c>
    </row>
    <row r="61" spans="1:8" x14ac:dyDescent="0.25">
      <c r="A61" s="3" t="s">
        <v>74</v>
      </c>
      <c r="B61" s="3" t="s">
        <v>64</v>
      </c>
      <c r="C61" s="37">
        <v>0</v>
      </c>
      <c r="D61" s="3">
        <f>48.3*C61/100</f>
        <v>0</v>
      </c>
      <c r="E61" s="3">
        <f>12.3*C61/100</f>
        <v>0</v>
      </c>
      <c r="F61" s="3">
        <f>0.9*C61/100</f>
        <v>0</v>
      </c>
      <c r="G61" s="3">
        <f>0.1*C61/100</f>
        <v>0</v>
      </c>
      <c r="H61" s="3">
        <f>1*C61/100</f>
        <v>0</v>
      </c>
    </row>
    <row r="62" spans="1:8" x14ac:dyDescent="0.25">
      <c r="A62" s="1" t="s">
        <v>65</v>
      </c>
      <c r="B62" s="1" t="s">
        <v>64</v>
      </c>
      <c r="C62" s="37">
        <v>0</v>
      </c>
      <c r="D62" s="1">
        <f>98*C62/100</f>
        <v>0</v>
      </c>
      <c r="E62" s="1">
        <f>26*C62/100</f>
        <v>0</v>
      </c>
      <c r="F62" s="1">
        <f>1.3*C62/100</f>
        <v>0</v>
      </c>
      <c r="G62" s="1">
        <f>0*C62/100</f>
        <v>0</v>
      </c>
      <c r="H62" s="1">
        <f>1.7*C62/100</f>
        <v>0</v>
      </c>
    </row>
    <row r="63" spans="1:8" x14ac:dyDescent="0.25">
      <c r="A63" s="1" t="s">
        <v>66</v>
      </c>
      <c r="B63" s="1" t="s">
        <v>64</v>
      </c>
      <c r="C63" s="37">
        <v>0</v>
      </c>
      <c r="D63" s="1">
        <f>56*C63/100</f>
        <v>0</v>
      </c>
      <c r="E63" s="1">
        <f>15*C63/100</f>
        <v>0</v>
      </c>
      <c r="F63" s="1">
        <f>0.5*C63/100</f>
        <v>0</v>
      </c>
      <c r="G63" s="1">
        <f>0*C63/100</f>
        <v>0</v>
      </c>
      <c r="H63" s="1">
        <f>1.4*C63/100</f>
        <v>0</v>
      </c>
    </row>
    <row r="64" spans="1:8" x14ac:dyDescent="0.25">
      <c r="A64" s="1" t="s">
        <v>67</v>
      </c>
      <c r="B64" s="1" t="s">
        <v>64</v>
      </c>
      <c r="C64" s="37">
        <v>0</v>
      </c>
      <c r="D64" s="1">
        <f>40*C64/100</f>
        <v>0</v>
      </c>
      <c r="E64" s="1">
        <f>10.4*C64/100</f>
        <v>0</v>
      </c>
      <c r="F64" s="1">
        <f>0.5*C64/100</f>
        <v>0</v>
      </c>
      <c r="G64" s="1">
        <f>0*C64/100</f>
        <v>0</v>
      </c>
      <c r="H64" s="1">
        <f>1*C64/100</f>
        <v>0</v>
      </c>
    </row>
    <row r="65" spans="1:8" x14ac:dyDescent="0.25">
      <c r="A65" s="1" t="s">
        <v>68</v>
      </c>
      <c r="B65" s="1" t="s">
        <v>64</v>
      </c>
      <c r="C65" s="37">
        <v>0</v>
      </c>
      <c r="D65" s="1">
        <f>32*C65/100</f>
        <v>0</v>
      </c>
      <c r="E65" s="1">
        <f>7.7*C65/100</f>
        <v>0</v>
      </c>
      <c r="F65" s="1">
        <f>0.8*C65/100</f>
        <v>0</v>
      </c>
      <c r="G65" s="1">
        <f>0.2*C65/100</f>
        <v>0</v>
      </c>
      <c r="H65" s="1">
        <f>1.7*C65/100</f>
        <v>0</v>
      </c>
    </row>
    <row r="66" spans="1:8" x14ac:dyDescent="0.25">
      <c r="A66" s="1" t="s">
        <v>69</v>
      </c>
      <c r="B66" s="1" t="s">
        <v>64</v>
      </c>
      <c r="C66" s="37">
        <v>0</v>
      </c>
      <c r="D66" s="1">
        <f>30*C66/100</f>
        <v>0</v>
      </c>
      <c r="E66" s="1">
        <f>7.5*C66/100</f>
        <v>0</v>
      </c>
      <c r="F66" s="1">
        <f>0.6*C66/100</f>
        <v>0</v>
      </c>
      <c r="G66" s="1">
        <v>0</v>
      </c>
      <c r="H66" s="1">
        <f>1.7*C66/100</f>
        <v>0</v>
      </c>
    </row>
    <row r="67" spans="1:8" x14ac:dyDescent="0.25">
      <c r="A67" s="1" t="s">
        <v>73</v>
      </c>
      <c r="B67" s="1" t="s">
        <v>64</v>
      </c>
      <c r="C67" s="37">
        <v>0</v>
      </c>
      <c r="D67" s="1">
        <f>65*C67/100</f>
        <v>0</v>
      </c>
      <c r="E67" s="1">
        <f>16.91*C67/100</f>
        <v>0</v>
      </c>
      <c r="F67" s="1">
        <f>0.48*C67/100</f>
        <v>0</v>
      </c>
      <c r="G67" s="1">
        <f>0.1*C66/100</f>
        <v>0</v>
      </c>
      <c r="H67" s="1">
        <f>1.6*C67/100</f>
        <v>0</v>
      </c>
    </row>
    <row r="68" spans="1:8" x14ac:dyDescent="0.25">
      <c r="A68" s="1" t="s">
        <v>70</v>
      </c>
      <c r="B68" s="1" t="s">
        <v>64</v>
      </c>
      <c r="C68" s="37">
        <v>0</v>
      </c>
      <c r="D68" s="1">
        <f>57*C68/100</f>
        <v>0</v>
      </c>
      <c r="E68" s="1">
        <f>15.2*C68/100</f>
        <v>0</v>
      </c>
      <c r="F68" s="1">
        <f>0.4*C68/100</f>
        <v>0</v>
      </c>
      <c r="G68" s="1">
        <f>0.1*C68/100</f>
        <v>0</v>
      </c>
      <c r="H68" s="1">
        <f>3.1*C68/100</f>
        <v>0</v>
      </c>
    </row>
    <row r="69" spans="1:8" x14ac:dyDescent="0.25">
      <c r="A69" s="1" t="s">
        <v>71</v>
      </c>
      <c r="B69" s="1" t="s">
        <v>64</v>
      </c>
      <c r="C69" s="37">
        <v>0</v>
      </c>
      <c r="D69" s="1">
        <f>49*C69/100</f>
        <v>0</v>
      </c>
      <c r="E69" s="1">
        <f>12.7*C69/100</f>
        <v>0</v>
      </c>
      <c r="F69" s="1">
        <f>0.6*C69/100</f>
        <v>0</v>
      </c>
      <c r="G69" s="1">
        <f>0.2*C69/100</f>
        <v>0</v>
      </c>
      <c r="H69" s="1">
        <f>0.9*C69/100</f>
        <v>0</v>
      </c>
    </row>
    <row r="70" spans="1:8" x14ac:dyDescent="0.25">
      <c r="A70" s="1" t="s">
        <v>72</v>
      </c>
      <c r="B70" s="1" t="s">
        <v>64</v>
      </c>
      <c r="C70" s="37">
        <v>0</v>
      </c>
      <c r="D70" s="1">
        <f>300*C70/100</f>
        <v>0</v>
      </c>
      <c r="E70" s="1">
        <f>80*C70/100</f>
        <v>0</v>
      </c>
      <c r="F70" s="1">
        <f>3*C70/100</f>
        <v>0</v>
      </c>
      <c r="G70" s="1">
        <f>0.05*C70/100</f>
        <v>0</v>
      </c>
      <c r="H70" s="1">
        <f>3.7*C70/100</f>
        <v>0</v>
      </c>
    </row>
    <row r="71" spans="1:8" x14ac:dyDescent="0.25">
      <c r="A71" s="11"/>
      <c r="B71" s="11"/>
      <c r="C71" s="11"/>
      <c r="D71" s="11"/>
      <c r="E71" s="11"/>
      <c r="F71" s="11"/>
    </row>
    <row r="72" spans="1:8" ht="15.75" thickBot="1" x14ac:dyDescent="0.3">
      <c r="A72" s="12"/>
      <c r="B72" s="13"/>
      <c r="C72" s="11"/>
      <c r="D72" s="11"/>
      <c r="E72" s="11"/>
      <c r="F72" s="11"/>
    </row>
    <row r="73" spans="1:8" x14ac:dyDescent="0.25">
      <c r="A73" s="12"/>
      <c r="B73" s="14" t="s">
        <v>87</v>
      </c>
      <c r="C73" s="15"/>
      <c r="D73" s="15"/>
      <c r="E73" s="16"/>
      <c r="F73" s="11"/>
    </row>
    <row r="74" spans="1:8" x14ac:dyDescent="0.25">
      <c r="A74" s="11"/>
      <c r="B74" s="17" t="s">
        <v>75</v>
      </c>
      <c r="C74" s="18"/>
      <c r="D74" s="18"/>
      <c r="E74" s="19"/>
      <c r="F74" s="11"/>
    </row>
    <row r="75" spans="1:8" x14ac:dyDescent="0.25">
      <c r="A75" s="11"/>
      <c r="B75" s="17" t="s">
        <v>76</v>
      </c>
      <c r="C75" s="18"/>
      <c r="D75" s="18"/>
      <c r="E75" s="19"/>
      <c r="F75" s="11"/>
    </row>
    <row r="76" spans="1:8" x14ac:dyDescent="0.25">
      <c r="A76" s="11"/>
      <c r="B76" s="20" t="s">
        <v>78</v>
      </c>
      <c r="C76" s="21"/>
      <c r="D76" s="21"/>
      <c r="E76" s="22"/>
      <c r="F76" s="11"/>
    </row>
    <row r="77" spans="1:8" x14ac:dyDescent="0.25">
      <c r="A77" s="11"/>
      <c r="B77" s="17" t="s">
        <v>53</v>
      </c>
      <c r="C77" s="18"/>
      <c r="D77" s="18"/>
      <c r="E77" s="19"/>
      <c r="F77" s="11"/>
    </row>
    <row r="78" spans="1:8" ht="15.75" thickBot="1" x14ac:dyDescent="0.3">
      <c r="A78" s="11"/>
      <c r="B78" s="23" t="s">
        <v>77</v>
      </c>
      <c r="C78" s="24"/>
      <c r="D78" s="24"/>
      <c r="E78" s="25"/>
      <c r="F78" s="11"/>
    </row>
    <row r="79" spans="1:8" ht="15.75" thickBot="1" x14ac:dyDescent="0.3">
      <c r="A79" s="11"/>
      <c r="B79" s="11"/>
      <c r="C79" s="11"/>
      <c r="D79" s="11"/>
      <c r="E79" s="11"/>
      <c r="F79" s="11"/>
    </row>
    <row r="80" spans="1:8" ht="15.75" x14ac:dyDescent="0.25">
      <c r="A80" s="11"/>
      <c r="B80" s="26" t="s">
        <v>79</v>
      </c>
      <c r="C80" s="27"/>
      <c r="D80" s="27"/>
      <c r="E80" s="28"/>
      <c r="F80" s="11"/>
    </row>
    <row r="81" spans="1:6" x14ac:dyDescent="0.25">
      <c r="A81" s="11"/>
      <c r="B81" s="29" t="s">
        <v>80</v>
      </c>
      <c r="C81" s="30"/>
      <c r="D81" s="30"/>
      <c r="E81" s="31"/>
      <c r="F81" s="11"/>
    </row>
    <row r="82" spans="1:6" x14ac:dyDescent="0.25">
      <c r="A82" s="11"/>
      <c r="B82" s="32" t="s">
        <v>81</v>
      </c>
      <c r="C82" s="30"/>
      <c r="D82" s="30"/>
      <c r="E82" s="31"/>
      <c r="F82" s="11"/>
    </row>
    <row r="83" spans="1:6" ht="15.75" thickBot="1" x14ac:dyDescent="0.3">
      <c r="A83" s="11"/>
      <c r="B83" s="33" t="s">
        <v>82</v>
      </c>
      <c r="C83" s="34"/>
      <c r="D83" s="34"/>
      <c r="E83" s="35"/>
      <c r="F83" s="11"/>
    </row>
    <row r="84" spans="1:6" ht="15.75" thickBot="1" x14ac:dyDescent="0.3">
      <c r="A84" s="11"/>
      <c r="B84" s="11"/>
      <c r="C84" s="11"/>
      <c r="D84" s="11"/>
      <c r="E84" s="11"/>
      <c r="F84" s="11"/>
    </row>
    <row r="85" spans="1:6" ht="15.75" thickBot="1" x14ac:dyDescent="0.3">
      <c r="A85" s="11"/>
      <c r="B85" s="64" t="s">
        <v>90</v>
      </c>
      <c r="C85" s="65"/>
      <c r="D85" s="65"/>
      <c r="E85" s="66"/>
      <c r="F85" s="11"/>
    </row>
    <row r="86" spans="1:6" x14ac:dyDescent="0.25">
      <c r="A86" s="11"/>
      <c r="B86" s="11"/>
      <c r="C86" s="11"/>
      <c r="D86" s="11"/>
      <c r="E86" s="11"/>
      <c r="F86" s="11"/>
    </row>
  </sheetData>
  <sheetProtection algorithmName="SHA-512" hashValue="8GsCmoSkVNgbp8+8bWemX3dO7XpE1IoQyDV0I3o5qhvcCcSxp8a4IXiFYeT/GzV5tw0+iJZTBRkB+cgFFTe9Xw==" saltValue="quVCgPRI/RXAJDTqMnPNfQ==" spinCount="100000" sheet="1" objects="1" scenarios="1" selectLockedCells="1"/>
  <mergeCells count="6">
    <mergeCell ref="B85:E85"/>
    <mergeCell ref="A2:H2"/>
    <mergeCell ref="A15:H15"/>
    <mergeCell ref="A27:H27"/>
    <mergeCell ref="A46:H46"/>
    <mergeCell ref="A59:H5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gian_</dc:creator>
  <cp:lastModifiedBy>gian_</cp:lastModifiedBy>
  <dcterms:created xsi:type="dcterms:W3CDTF">2017-03-27T15:24:34Z</dcterms:created>
  <dcterms:modified xsi:type="dcterms:W3CDTF">2017-03-30T06:17:51Z</dcterms:modified>
</cp:coreProperties>
</file>